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91" yWindow="65251" windowWidth="136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<sst xmlns="http://schemas.openxmlformats.org/spreadsheetml/2006/main" count="165" uniqueCount="113">
  <si>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</si>
  <si>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</si>
  <si>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</si>
  <si>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</si>
  <si>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</si>
  <si>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</si>
  <si>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</si>
  <si>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</si>
  <si>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</si>
  <si>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</si>
  <si>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</si>
  <si>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</si>
  <si>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</si>
  <si>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</si>
  <si>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</si>
  <si>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</si>
  <si>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</si>
  <si>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</si>
  <si>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</si>
  <si>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</si>
  <si>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</si>
  <si>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</si>
  <si>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</si>
  <si>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</si>
  <si>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</si>
  <si>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</si>
  <si>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</si>
  <si>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</si>
  <si>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</si>
  <si>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</si>
  <si>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</si>
  <si>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</si>
  <si>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</si>
  <si>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</si>
  <si>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</si>
  <si>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</si>
  <si>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</si>
  <si>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</si>
  <si>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</si>
  <si>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</si>
  <si>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</si>
  <si>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</si>
  <si>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</si>
  <si>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</si>
  <si>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</si>
  <si>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</si>
  <si>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</si>
  <si>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</si>
  <si>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</si>
  <si>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</si>
  <si>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</si>
  <si>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</si>
  <si>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</si>
  <si>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</si>
  <si>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</si>
  <si>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</si>
  <si>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</si>
  <si>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</si>
  <si>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</si>
  <si>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</si>
  <si>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</si>
  <si>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</si>
  <si>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</si>
  <si>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</si>
  <si>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</si>
  <si>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</si>
  <si>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</si>
  <si>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</si>
  <si>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</si>
  <si>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</si>
  <si>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</si>
  <si>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</si>
  <si>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</si>
  <si>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</si>
  <si>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</si>
  <si>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</si>
  <si>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</si>
  <si>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</si>
  <si>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</si>
  <si>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</si>
  <si>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</si>
  <si>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</si>
  <si>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</si>
  <si>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</si>
  <si>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</si>
  <si>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</si>
  <si>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</si>
  <si>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</si>
  <si>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</si>
  <si>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</si>
  <si>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</si>
  <si>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</si>
  <si>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</si>
  <si>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</si>
  <si>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</si>
  <si>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</si>
  <si>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</si>
  <si>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</si>
  <si>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</si>
  <si>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</si>
  <si>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</si>
  <si>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</si>
  <si>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</si>
  <si>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</si>
  <si>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</si>
  <si>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</si>
  <si>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</si>
  <si>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</si>
  <si>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</si>
  <si>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</si>
  <si>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</si>
  <si>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</si>
  <si>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11.06.2018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</si>
</sst>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2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85659.99999999997</c:v>
                </c:pt>
                <c:pt idx="1">
                  <c:v>81823.90999999997</c:v>
                </c:pt>
                <c:pt idx="2">
                  <c:v>1228.6000000000001</c:v>
                </c:pt>
                <c:pt idx="3">
                  <c:v>2607.489999999996</c:v>
                </c:pt>
              </c:numCache>
            </c:numRef>
          </c:val>
          <c:shape val="box"/>
        </c:ser>
        <c:shape val="box"/>
        <c:axId val="27090503"/>
        <c:axId val="42487936"/>
      </c:bar3D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87936"/>
        <c:crosses val="autoZero"/>
        <c:auto val="1"/>
        <c:lblOffset val="100"/>
        <c:tickLblSkip val="1"/>
        <c:noMultiLvlLbl val="0"/>
      </c:catAx>
      <c:valAx>
        <c:axId val="4248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6"/>
          <c:w val="0.8435"/>
          <c:h val="0.71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345538.19999999995</c:v>
                </c:pt>
                <c:pt idx="1">
                  <c:v>115328</c:v>
                </c:pt>
                <c:pt idx="2">
                  <c:v>271783.9000000001</c:v>
                </c:pt>
                <c:pt idx="3">
                  <c:v>17.900000000000002</c:v>
                </c:pt>
                <c:pt idx="4">
                  <c:v>14612.699999999999</c:v>
                </c:pt>
                <c:pt idx="5">
                  <c:v>49415.3</c:v>
                </c:pt>
                <c:pt idx="6">
                  <c:v>5331.499999999999</c:v>
                </c:pt>
                <c:pt idx="7">
                  <c:v>4376.899999999879</c:v>
                </c:pt>
              </c:numCache>
            </c:numRef>
          </c:val>
          <c:shape val="box"/>
        </c:ser>
        <c:shape val="box"/>
        <c:axId val="46847105"/>
        <c:axId val="18970762"/>
      </c:bar3D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70762"/>
        <c:crosses val="autoZero"/>
        <c:auto val="1"/>
        <c:lblOffset val="100"/>
        <c:tickLblSkip val="1"/>
        <c:noMultiLvlLbl val="0"/>
      </c:catAx>
      <c:valAx>
        <c:axId val="1897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75"/>
          <c:w val="0.9295"/>
          <c:h val="0.67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169950.39999999997</c:v>
                </c:pt>
                <c:pt idx="1">
                  <c:v>110288.6</c:v>
                </c:pt>
                <c:pt idx="2">
                  <c:v>169950.39999999997</c:v>
                </c:pt>
              </c:numCache>
            </c:numRef>
          </c:val>
          <c:shape val="box"/>
        </c:ser>
        <c:shape val="box"/>
        <c:axId val="36519131"/>
        <c:axId val="60236724"/>
      </c:bar3D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36724"/>
        <c:crosses val="autoZero"/>
        <c:auto val="1"/>
        <c:lblOffset val="100"/>
        <c:tickLblSkip val="1"/>
        <c:noMultiLvlLbl val="0"/>
      </c:catAx>
      <c:valAx>
        <c:axId val="6023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9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9374.4</c:v>
                </c:pt>
                <c:pt idx="1">
                  <c:v>5018.000000000001</c:v>
                </c:pt>
                <c:pt idx="2">
                  <c:v>59.6</c:v>
                </c:pt>
                <c:pt idx="3">
                  <c:v>939.7999999999998</c:v>
                </c:pt>
                <c:pt idx="4">
                  <c:v>318.5</c:v>
                </c:pt>
                <c:pt idx="5">
                  <c:v>34.2</c:v>
                </c:pt>
                <c:pt idx="6">
                  <c:v>3004.2999999999993</c:v>
                </c:pt>
              </c:numCache>
            </c:numRef>
          </c:val>
          <c:shape val="box"/>
        </c:ser>
        <c:shape val="box"/>
        <c:axId val="5259605"/>
        <c:axId val="47336446"/>
      </c:bar3D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25"/>
          <c:w val="0.863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12676.599999999999</c:v>
                </c:pt>
                <c:pt idx="1">
                  <c:v>7392.100000000001</c:v>
                </c:pt>
                <c:pt idx="3">
                  <c:v>392.1</c:v>
                </c:pt>
                <c:pt idx="4">
                  <c:v>477.80000000000007</c:v>
                </c:pt>
                <c:pt idx="5">
                  <c:v>550</c:v>
                </c:pt>
                <c:pt idx="6">
                  <c:v>3864.5999999999967</c:v>
                </c:pt>
              </c:numCache>
            </c:numRef>
          </c:val>
          <c:shape val="box"/>
        </c:ser>
        <c:shape val="box"/>
        <c:axId val="23374831"/>
        <c:axId val="9046888"/>
      </c:bar3D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46888"/>
        <c:crosses val="autoZero"/>
        <c:auto val="1"/>
        <c:lblOffset val="100"/>
        <c:tickLblSkip val="2"/>
        <c:noMultiLvlLbl val="0"/>
      </c:catAx>
      <c:valAx>
        <c:axId val="9046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775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1617.1000000000001</c:v>
                </c:pt>
                <c:pt idx="1">
                  <c:v>1230.2</c:v>
                </c:pt>
                <c:pt idx="3">
                  <c:v>218.99999999999997</c:v>
                </c:pt>
                <c:pt idx="4">
                  <c:v>0</c:v>
                </c:pt>
                <c:pt idx="5">
                  <c:v>167.90000000000012</c:v>
                </c:pt>
              </c:numCache>
            </c:numRef>
          </c:val>
          <c:shape val="box"/>
        </c:ser>
        <c:shape val="box"/>
        <c:axId val="14313129"/>
        <c:axId val="61709298"/>
      </c:bar3D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3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625"/>
          <c:w val="0.85275"/>
          <c:h val="0.72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15968.8</c:v>
                </c:pt>
              </c:numCache>
            </c:numRef>
          </c:val>
          <c:shape val="box"/>
        </c:ser>
        <c:shape val="box"/>
        <c:axId val="18512771"/>
        <c:axId val="32397212"/>
      </c:bar3D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2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35"/>
          <c:w val="0.851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345538.19999999995</c:v>
                </c:pt>
                <c:pt idx="1">
                  <c:v>169950.39999999997</c:v>
                </c:pt>
                <c:pt idx="2">
                  <c:v>9374.4</c:v>
                </c:pt>
                <c:pt idx="3">
                  <c:v>12676.599999999999</c:v>
                </c:pt>
                <c:pt idx="4">
                  <c:v>1617.1000000000001</c:v>
                </c:pt>
                <c:pt idx="5">
                  <c:v>85659.99999999997</c:v>
                </c:pt>
                <c:pt idx="6">
                  <c:v>15968.8</c:v>
                </c:pt>
              </c:numCache>
            </c:numRef>
          </c:val>
          <c:shape val="box"/>
        </c:ser>
        <c:shape val="box"/>
        <c:axId val="23139453"/>
        <c:axId val="6928486"/>
      </c:bar3D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80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2"/>
          <c:w val="0.84125"/>
          <c:h val="0.4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30174.999999999996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373019.81</c:v>
                </c:pt>
                <c:pt idx="1">
                  <c:v>59225.5</c:v>
                </c:pt>
                <c:pt idx="2">
                  <c:v>15090.4</c:v>
                </c:pt>
                <c:pt idx="3">
                  <c:v>11976.7</c:v>
                </c:pt>
                <c:pt idx="4">
                  <c:v>17.900000000000002</c:v>
                </c:pt>
                <c:pt idx="5">
                  <c:v>323804.7899999998</c:v>
                </c:pt>
              </c:numCache>
            </c:numRef>
          </c:val>
          <c:shape val="box"/>
        </c:ser>
        <c:shape val="box"/>
        <c:axId val="62356375"/>
        <c:axId val="24336464"/>
      </c:bar3D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9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41" sqref="P141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109</v>
      </c>
      <c r="C3" s="167" t="s">
        <v>106</v>
      </c>
      <c r="D3" s="167" t="s">
        <v>22</v>
      </c>
      <c r="E3" s="167" t="s">
        <v>21</v>
      </c>
      <c r="F3" s="167" t="s">
        <v>110</v>
      </c>
      <c r="G3" s="167" t="s">
        <v>107</v>
      </c>
      <c r="H3" s="167" t="s">
        <v>111</v>
      </c>
      <c r="I3" s="167" t="s">
        <v>108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9" ht="39" customHeight="1" thickBot="1">
      <c r="A5" s="172"/>
      <c r="B5" s="175"/>
      <c r="C5" s="169"/>
      <c r="D5" s="169"/>
      <c r="E5" s="169"/>
      <c r="F5" s="169"/>
      <c r="G5" s="169"/>
      <c r="H5" s="169"/>
      <c r="I5" s="169"/>
    </row>
    <row r="6" spans="1:11" ht="18.75" thickBot="1">
      <c r="A6" s="20" t="s">
        <v>26</v>
      </c>
      <c r="B6" s="38">
        <v>478344.1</v>
      </c>
      <c r="C6" s="39">
        <f>826775+13431.5+510-13431.5+16-2334</f>
        <v>824967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</f>
        <v>345538.19999999995</v>
      </c>
      <c r="E6" s="3">
        <f>D6/D153*100</f>
        <v>44.122425364410304</v>
      </c>
      <c r="F6" s="3">
        <f>D6/B6*100</f>
        <v>72.23632527295727</v>
      </c>
      <c r="G6" s="3">
        <f aca="true" t="shared" si="0" ref="G6:G43">D6/C6*100</f>
        <v>41.8850935855616</v>
      </c>
      <c r="H6" s="40">
        <f>B6-D6</f>
        <v>132805.90000000002</v>
      </c>
      <c r="I6" s="40">
        <f aca="true" t="shared" si="1" ref="I6:I43">C6-D6</f>
        <v>479428.80000000005</v>
      </c>
      <c r="J6" s="93"/>
      <c r="K6" s="153"/>
    </row>
    <row r="7" spans="1:12" s="94" customFormat="1" ht="18.75">
      <c r="A7" s="140" t="s">
        <v>81</v>
      </c>
      <c r="B7" s="141">
        <v>163866.5</v>
      </c>
      <c r="C7" s="142">
        <v>262517.6</v>
      </c>
      <c r="D7" s="143">
        <f>8282.7+10875.2+9132.6+9963.6+4.3+9215.1+9968.6+9459.9+11450.4+9572.3+23759.4-0.1+3644</f>
        <v>115328</v>
      </c>
      <c r="E7" s="144">
        <f>D7/D6*100</f>
        <v>33.376338708715856</v>
      </c>
      <c r="F7" s="144">
        <f>D7/B7*100</f>
        <v>70.37924163877302</v>
      </c>
      <c r="G7" s="144">
        <f>D7/C7*100</f>
        <v>43.93153068594258</v>
      </c>
      <c r="H7" s="143">
        <f>B7-D7</f>
        <v>48538.5</v>
      </c>
      <c r="I7" s="143">
        <f t="shared" si="1"/>
        <v>147189.59999999998</v>
      </c>
      <c r="K7" s="153"/>
      <c r="L7" s="139"/>
    </row>
    <row r="8" spans="1:12" s="93" customFormat="1" ht="18">
      <c r="A8" s="102" t="s">
        <v>3</v>
      </c>
      <c r="B8" s="126">
        <v>381419.8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</f>
        <v>271783.9000000001</v>
      </c>
      <c r="E8" s="106">
        <f>D8/D6*100</f>
        <v>78.65523985481204</v>
      </c>
      <c r="F8" s="106">
        <f>D8/B8*100</f>
        <v>71.2558446100596</v>
      </c>
      <c r="G8" s="106">
        <f t="shared" si="0"/>
        <v>41.45338566713859</v>
      </c>
      <c r="H8" s="104">
        <f>B8-D8</f>
        <v>109635.8999999999</v>
      </c>
      <c r="I8" s="104">
        <f t="shared" si="1"/>
        <v>383853.49999999994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</f>
        <v>17.900000000000002</v>
      </c>
      <c r="E9" s="128">
        <f>D9/D6*100</f>
        <v>0.005180324490895654</v>
      </c>
      <c r="F9" s="106">
        <f>D9/B9*100</f>
        <v>58.11688311688312</v>
      </c>
      <c r="G9" s="106">
        <f t="shared" si="0"/>
        <v>18.321392016376663</v>
      </c>
      <c r="H9" s="104">
        <f aca="true" t="shared" si="2" ref="H9:H43">B9-D9</f>
        <v>12.899999999999999</v>
      </c>
      <c r="I9" s="104">
        <f t="shared" si="1"/>
        <v>79.8</v>
      </c>
      <c r="K9" s="153"/>
      <c r="L9" s="139"/>
    </row>
    <row r="10" spans="1:12" s="93" customFormat="1" ht="18">
      <c r="A10" s="102" t="s">
        <v>1</v>
      </c>
      <c r="B10" s="126">
        <v>23709.2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</f>
        <v>14612.699999999999</v>
      </c>
      <c r="E10" s="106">
        <f>D10/D6*100</f>
        <v>4.228968027268765</v>
      </c>
      <c r="F10" s="106">
        <f aca="true" t="shared" si="3" ref="F10:F41">D10/B10*100</f>
        <v>61.63303696455383</v>
      </c>
      <c r="G10" s="106">
        <f t="shared" si="0"/>
        <v>32.92513113542548</v>
      </c>
      <c r="H10" s="104">
        <f t="shared" si="2"/>
        <v>9096.500000000002</v>
      </c>
      <c r="I10" s="104">
        <f t="shared" si="1"/>
        <v>29768.90000000001</v>
      </c>
      <c r="K10" s="153"/>
      <c r="L10" s="139"/>
    </row>
    <row r="11" spans="1:12" s="93" customFormat="1" ht="18">
      <c r="A11" s="102" t="s">
        <v>0</v>
      </c>
      <c r="B11" s="126">
        <v>52258.5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</f>
        <v>49415.3</v>
      </c>
      <c r="E11" s="106">
        <f>D11/D6*100</f>
        <v>14.300965855584133</v>
      </c>
      <c r="F11" s="106">
        <f t="shared" si="3"/>
        <v>94.55935398069214</v>
      </c>
      <c r="G11" s="106">
        <f t="shared" si="0"/>
        <v>56.043954797646435</v>
      </c>
      <c r="H11" s="104">
        <f t="shared" si="2"/>
        <v>2843.199999999997</v>
      </c>
      <c r="I11" s="104">
        <f t="shared" si="1"/>
        <v>38757.09999999999</v>
      </c>
      <c r="K11" s="153"/>
      <c r="L11" s="139"/>
    </row>
    <row r="12" spans="1:12" s="93" customFormat="1" ht="18">
      <c r="A12" s="102" t="s">
        <v>14</v>
      </c>
      <c r="B12" s="126">
        <v>6519.6</v>
      </c>
      <c r="C12" s="127">
        <v>12738</v>
      </c>
      <c r="D12" s="104">
        <f>874.5+251.8+346.3+159.7+538.5+10.6+57+168.9+31.7+165.3+10.6+439.5+199.1+10.6+10.6+19+325.9+10.6+160.6+453.5-0.1+21.1+21.1+563.9+19+160.9+282.3+19</f>
        <v>5331.499999999999</v>
      </c>
      <c r="E12" s="106">
        <f>D12/D6*100</f>
        <v>1.5429553085592274</v>
      </c>
      <c r="F12" s="106">
        <f t="shared" si="3"/>
        <v>81.77648935517514</v>
      </c>
      <c r="G12" s="106">
        <f t="shared" si="0"/>
        <v>41.85507929031244</v>
      </c>
      <c r="H12" s="104">
        <f>B12-D12</f>
        <v>1188.1000000000013</v>
      </c>
      <c r="I12" s="104">
        <f t="shared" si="1"/>
        <v>7406.500000000001</v>
      </c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14406.199999999988</v>
      </c>
      <c r="C13" s="127">
        <f>C6-C8-C9-C10-C11-C12</f>
        <v>23939.899999999965</v>
      </c>
      <c r="D13" s="127">
        <f>D6-D8-D9-D10-D11-D12</f>
        <v>4376.899999999879</v>
      </c>
      <c r="E13" s="106">
        <f>D13/D6*100</f>
        <v>1.2666906292849471</v>
      </c>
      <c r="F13" s="106">
        <f t="shared" si="3"/>
        <v>30.3820577251453</v>
      </c>
      <c r="G13" s="106">
        <f t="shared" si="0"/>
        <v>18.282866678640616</v>
      </c>
      <c r="H13" s="104">
        <f t="shared" si="2"/>
        <v>10029.300000000108</v>
      </c>
      <c r="I13" s="104">
        <f t="shared" si="1"/>
        <v>19563.000000000087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211802.5</v>
      </c>
      <c r="C18" s="39">
        <f>424151.5+750.3</f>
        <v>424901.8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</f>
        <v>169950.39999999997</v>
      </c>
      <c r="E18" s="3">
        <f>D18/D153*100</f>
        <v>21.70128755562099</v>
      </c>
      <c r="F18" s="3">
        <f>D18/B18*100</f>
        <v>80.24003493820892</v>
      </c>
      <c r="G18" s="3">
        <f t="shared" si="0"/>
        <v>39.997571203511015</v>
      </c>
      <c r="H18" s="40">
        <f>B18-D18</f>
        <v>41852.100000000035</v>
      </c>
      <c r="I18" s="40">
        <f t="shared" si="1"/>
        <v>254951.40000000002</v>
      </c>
      <c r="J18" s="93"/>
      <c r="K18" s="153"/>
    </row>
    <row r="19" spans="1:13" s="94" customFormat="1" ht="18.75">
      <c r="A19" s="140" t="s">
        <v>82</v>
      </c>
      <c r="B19" s="141">
        <v>132767.8</v>
      </c>
      <c r="C19" s="142">
        <f>226186+750.3</f>
        <v>226936.3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</f>
        <v>110288.6</v>
      </c>
      <c r="E19" s="144">
        <f>D19/D18*100</f>
        <v>64.89458100716446</v>
      </c>
      <c r="F19" s="144">
        <f t="shared" si="3"/>
        <v>83.0687862569087</v>
      </c>
      <c r="G19" s="144">
        <f t="shared" si="0"/>
        <v>48.59892401524129</v>
      </c>
      <c r="H19" s="143">
        <f t="shared" si="2"/>
        <v>22479.199999999983</v>
      </c>
      <c r="I19" s="143">
        <f t="shared" si="1"/>
        <v>116647.69999999998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211802.5</v>
      </c>
      <c r="C25" s="127">
        <f>C18</f>
        <v>424901.8</v>
      </c>
      <c r="D25" s="127">
        <f>D18</f>
        <v>169950.39999999997</v>
      </c>
      <c r="E25" s="106">
        <f>D25/D18*100</f>
        <v>100</v>
      </c>
      <c r="F25" s="106">
        <f t="shared" si="3"/>
        <v>80.24003493820892</v>
      </c>
      <c r="G25" s="106">
        <f t="shared" si="0"/>
        <v>39.997571203511015</v>
      </c>
      <c r="H25" s="104">
        <f t="shared" si="2"/>
        <v>41852.100000000035</v>
      </c>
      <c r="I25" s="104">
        <f t="shared" si="1"/>
        <v>254951.40000000002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12240.8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</f>
        <v>9374.4</v>
      </c>
      <c r="E33" s="3">
        <f>D33/D153*100</f>
        <v>1.1970348411148986</v>
      </c>
      <c r="F33" s="3">
        <f>D33/B33*100</f>
        <v>76.5832298542579</v>
      </c>
      <c r="G33" s="3">
        <f t="shared" si="0"/>
        <v>37.792228211134</v>
      </c>
      <c r="H33" s="40">
        <f t="shared" si="2"/>
        <v>2866.3999999999996</v>
      </c>
      <c r="I33" s="40">
        <f t="shared" si="1"/>
        <v>15430.699999999999</v>
      </c>
      <c r="J33" s="165"/>
      <c r="K33" s="153"/>
    </row>
    <row r="34" spans="1:11" s="93" customFormat="1" ht="18">
      <c r="A34" s="102" t="s">
        <v>3</v>
      </c>
      <c r="B34" s="126">
        <v>6385.5</v>
      </c>
      <c r="C34" s="127">
        <v>12906.6</v>
      </c>
      <c r="D34" s="104">
        <f>364.6+548.1+389.3+522.2+63+395+556.7+63+391.3+512.8+63+394.6+664.3+89.8+0.3</f>
        <v>5018.000000000001</v>
      </c>
      <c r="E34" s="106">
        <f>D34/D33*100</f>
        <v>53.528759173920484</v>
      </c>
      <c r="F34" s="106">
        <f t="shared" si="3"/>
        <v>78.58429253778093</v>
      </c>
      <c r="G34" s="106">
        <f t="shared" si="0"/>
        <v>38.87933305440628</v>
      </c>
      <c r="H34" s="104">
        <f t="shared" si="2"/>
        <v>1367.499999999999</v>
      </c>
      <c r="I34" s="104">
        <f t="shared" si="1"/>
        <v>7888.599999999999</v>
      </c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0.6357740228707971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1014.6</v>
      </c>
      <c r="C36" s="127">
        <v>1783</v>
      </c>
      <c r="D36" s="104">
        <f>0.3+11.3+141.7+12.6+0.9+12.9+1.3+0.5+169.4+1.1+0.1+0.4+11.3+166.1+3.8+5.1+2.9+0.2+0.5+11.9+319.9+44.3+12.2+0.9-0.2+8.4</f>
        <v>939.7999999999998</v>
      </c>
      <c r="E36" s="106">
        <f>D36/D33*100</f>
        <v>10.025174944529782</v>
      </c>
      <c r="F36" s="106">
        <f t="shared" si="3"/>
        <v>92.62763650699782</v>
      </c>
      <c r="G36" s="106">
        <f t="shared" si="0"/>
        <v>52.70891755468311</v>
      </c>
      <c r="H36" s="104">
        <f t="shared" si="2"/>
        <v>74.80000000000018</v>
      </c>
      <c r="I36" s="104">
        <f t="shared" si="1"/>
        <v>843.2000000000002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</f>
        <v>318.5</v>
      </c>
      <c r="E37" s="112">
        <f>D37/D33*100</f>
        <v>3.3975507765830346</v>
      </c>
      <c r="F37" s="112">
        <f t="shared" si="3"/>
        <v>96.31085576050802</v>
      </c>
      <c r="G37" s="112">
        <f t="shared" si="0"/>
        <v>31.59722222222222</v>
      </c>
      <c r="H37" s="108">
        <f t="shared" si="2"/>
        <v>12.199999999999989</v>
      </c>
      <c r="I37" s="108">
        <f t="shared" si="1"/>
        <v>689.5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0.3648233486943165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4416.199999999999</v>
      </c>
      <c r="C39" s="126">
        <f>C33-C34-C36-C37-C35-C38</f>
        <v>8936.899999999998</v>
      </c>
      <c r="D39" s="126">
        <f>D33-D34-D36-D37-D35-D38</f>
        <v>3004.2999999999993</v>
      </c>
      <c r="E39" s="106">
        <f>D39/D33*100</f>
        <v>32.0479177334016</v>
      </c>
      <c r="F39" s="106">
        <f t="shared" si="3"/>
        <v>68.0290747701644</v>
      </c>
      <c r="G39" s="106">
        <f t="shared" si="0"/>
        <v>33.616802246864125</v>
      </c>
      <c r="H39" s="104">
        <f>B39-D39</f>
        <v>1411.8999999999996</v>
      </c>
      <c r="I39" s="104">
        <f t="shared" si="1"/>
        <v>5932.5999999999985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v>1153.7</v>
      </c>
      <c r="C43" s="39">
        <f>1126.9+467</f>
        <v>1593.9</v>
      </c>
      <c r="D43" s="40">
        <f>63.9+1.1+0.6+70.8+0.5+48+6.7+2+13.7+10.4+20.2+0.7+37.4+27+181.7+0.2</f>
        <v>484.8999999999999</v>
      </c>
      <c r="E43" s="3">
        <f>D43/D153*100</f>
        <v>0.0619177968143683</v>
      </c>
      <c r="F43" s="3">
        <f>D43/B43*100</f>
        <v>42.02999046545895</v>
      </c>
      <c r="G43" s="3">
        <f t="shared" si="0"/>
        <v>30.422234770060854</v>
      </c>
      <c r="H43" s="40">
        <f t="shared" si="2"/>
        <v>668.8000000000002</v>
      </c>
      <c r="I43" s="40">
        <f t="shared" si="1"/>
        <v>1109.0000000000002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6805.3</v>
      </c>
      <c r="C45" s="39">
        <v>13576.3</v>
      </c>
      <c r="D45" s="40">
        <f>237.1+562.8+52.3+349.2+679.9+375.9+891+78.3+327.4+13.5+670.2+386.5+179.9+781.7-0.1</f>
        <v>5585.599999999999</v>
      </c>
      <c r="E45" s="3">
        <f>D45/D153*100</f>
        <v>0.7132358133354003</v>
      </c>
      <c r="F45" s="3">
        <f>D45/B45*100</f>
        <v>82.07720453176199</v>
      </c>
      <c r="G45" s="3">
        <f aca="true" t="shared" si="5" ref="G45:G76">D45/C45*100</f>
        <v>41.14228471674904</v>
      </c>
      <c r="H45" s="40">
        <f>B45-D45</f>
        <v>1219.7000000000007</v>
      </c>
      <c r="I45" s="40">
        <f aca="true" t="shared" si="6" ref="I45:I77">C45-D45</f>
        <v>7990.7</v>
      </c>
      <c r="J45" s="93"/>
      <c r="K45" s="153"/>
    </row>
    <row r="46" spans="1:11" s="93" customFormat="1" ht="18">
      <c r="A46" s="102" t="s">
        <v>3</v>
      </c>
      <c r="B46" s="126">
        <v>6036.4</v>
      </c>
      <c r="C46" s="127">
        <v>12256.4</v>
      </c>
      <c r="D46" s="104">
        <f>237.1+551.8+334.1+652.5+314.7+746.1+319.2+661.7+342.8+781.7+0.2-0.1</f>
        <v>4941.799999999999</v>
      </c>
      <c r="E46" s="106">
        <f>D46/D45*100</f>
        <v>88.47393297049555</v>
      </c>
      <c r="F46" s="106">
        <f aca="true" t="shared" si="7" ref="F46:F74">D46/B46*100</f>
        <v>81.8666755019548</v>
      </c>
      <c r="G46" s="106">
        <f t="shared" si="5"/>
        <v>40.3201592637316</v>
      </c>
      <c r="H46" s="104">
        <f aca="true" t="shared" si="8" ref="H46:H74">B46-D46</f>
        <v>1094.6000000000004</v>
      </c>
      <c r="I46" s="104">
        <f t="shared" si="6"/>
        <v>7314.6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49</v>
      </c>
      <c r="C48" s="127">
        <v>98.9</v>
      </c>
      <c r="D48" s="104">
        <f>5.7+6.1+6.5+7.7</f>
        <v>26</v>
      </c>
      <c r="E48" s="106">
        <f>D48/D45*100</f>
        <v>0.4654826697221427</v>
      </c>
      <c r="F48" s="106">
        <f t="shared" si="7"/>
        <v>53.06122448979592</v>
      </c>
      <c r="G48" s="106">
        <f t="shared" si="5"/>
        <v>26.289180990899897</v>
      </c>
      <c r="H48" s="104">
        <f t="shared" si="8"/>
        <v>23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562.4</v>
      </c>
      <c r="C49" s="127">
        <v>879.8</v>
      </c>
      <c r="D49" s="104">
        <f>7.3+51.9+12.7-0.1+54.5+131.2+49.5+2.4+7.9+11.2+178.3</f>
        <v>506.79999999999995</v>
      </c>
      <c r="E49" s="106">
        <f>D49/D45*100</f>
        <v>9.073331423660843</v>
      </c>
      <c r="F49" s="106">
        <f t="shared" si="7"/>
        <v>90.11379800853486</v>
      </c>
      <c r="G49" s="106">
        <f t="shared" si="5"/>
        <v>57.60400090929757</v>
      </c>
      <c r="H49" s="104">
        <f t="shared" si="8"/>
        <v>55.60000000000002</v>
      </c>
      <c r="I49" s="104">
        <f t="shared" si="6"/>
        <v>373</v>
      </c>
      <c r="K49" s="153"/>
    </row>
    <row r="50" spans="1:11" s="93" customFormat="1" ht="18.75" thickBot="1">
      <c r="A50" s="102" t="s">
        <v>27</v>
      </c>
      <c r="B50" s="127">
        <f>B45-B46-B49-B48-B47</f>
        <v>156.70000000000056</v>
      </c>
      <c r="C50" s="127">
        <f>C45-C46-C49-C48-C47</f>
        <v>339.6999999999997</v>
      </c>
      <c r="D50" s="127">
        <f>D45-D46-D49-D48-D47</f>
        <v>111.00000000000023</v>
      </c>
      <c r="E50" s="106">
        <f>D50/D45*100</f>
        <v>1.9872529361214593</v>
      </c>
      <c r="F50" s="106">
        <f t="shared" si="7"/>
        <v>70.83599234205478</v>
      </c>
      <c r="G50" s="106">
        <f t="shared" si="5"/>
        <v>32.67589049161034</v>
      </c>
      <c r="H50" s="104">
        <f t="shared" si="8"/>
        <v>45.70000000000033</v>
      </c>
      <c r="I50" s="104">
        <f t="shared" si="6"/>
        <v>228.69999999999948</v>
      </c>
      <c r="K50" s="153"/>
    </row>
    <row r="51" spans="1:11" ht="18.75" thickBot="1">
      <c r="A51" s="20" t="s">
        <v>4</v>
      </c>
      <c r="B51" s="38">
        <v>17581.2</v>
      </c>
      <c r="C51" s="39">
        <f>37135.4+450</f>
        <v>37585.4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</f>
        <v>12676.599999999999</v>
      </c>
      <c r="E51" s="3">
        <f>D51/D153*100</f>
        <v>1.618698995869295</v>
      </c>
      <c r="F51" s="3">
        <f>D51/B51*100</f>
        <v>72.10315564352831</v>
      </c>
      <c r="G51" s="3">
        <f t="shared" si="5"/>
        <v>33.727458002309405</v>
      </c>
      <c r="H51" s="40">
        <f>B51-D51</f>
        <v>4904.600000000002</v>
      </c>
      <c r="I51" s="40">
        <f t="shared" si="6"/>
        <v>24908.800000000003</v>
      </c>
      <c r="J51" s="93"/>
      <c r="K51" s="153"/>
    </row>
    <row r="52" spans="1:11" s="93" customFormat="1" ht="18">
      <c r="A52" s="102" t="s">
        <v>3</v>
      </c>
      <c r="B52" s="126">
        <v>10635</v>
      </c>
      <c r="C52" s="127">
        <v>20097.4</v>
      </c>
      <c r="D52" s="104">
        <f>632.9+34.3+767.3+737.6+710.6+649.6+792.4+1.6+643.1+825.6+650.1+947</f>
        <v>7392.100000000001</v>
      </c>
      <c r="E52" s="106">
        <f>D52/D51*100</f>
        <v>58.312954577725904</v>
      </c>
      <c r="F52" s="106">
        <f t="shared" si="7"/>
        <v>69.50728725905032</v>
      </c>
      <c r="G52" s="106">
        <f t="shared" si="5"/>
        <v>36.78137470518575</v>
      </c>
      <c r="H52" s="104">
        <f t="shared" si="8"/>
        <v>3242.8999999999987</v>
      </c>
      <c r="I52" s="104">
        <f t="shared" si="6"/>
        <v>12705.3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501</v>
      </c>
      <c r="C54" s="127">
        <v>993.6</v>
      </c>
      <c r="D54" s="104">
        <f>0.2+4.2+9+4.7+9.6+6.3+43.2+2.7+18.4+3.8+23.8+5.3+12.2+43.2+26.7+3.8+22.4+0.4+59.7+30.3+3.3+19.2+7+2.9+21+4.4-0.4+4.8</f>
        <v>392.1</v>
      </c>
      <c r="E54" s="106">
        <f>D54/D51*100</f>
        <v>3.093100673682218</v>
      </c>
      <c r="F54" s="106">
        <f t="shared" si="7"/>
        <v>78.26347305389221</v>
      </c>
      <c r="G54" s="106">
        <f t="shared" si="5"/>
        <v>39.462560386473434</v>
      </c>
      <c r="H54" s="104">
        <f t="shared" si="8"/>
        <v>108.89999999999998</v>
      </c>
      <c r="I54" s="104">
        <f t="shared" si="6"/>
        <v>601.5</v>
      </c>
      <c r="K54" s="153"/>
    </row>
    <row r="55" spans="1:11" s="93" customFormat="1" ht="18">
      <c r="A55" s="102" t="s">
        <v>0</v>
      </c>
      <c r="B55" s="126">
        <v>605.6</v>
      </c>
      <c r="C55" s="127">
        <v>1219.9</v>
      </c>
      <c r="D55" s="104">
        <f>0.5+1+2.8+12.3+8.3+0.5+0.4+8.7+15+0.3+1.3+64.9+33.6+8.1+0.1+94.7+0.3+9.8+7.8+0.9+1.8+16.2+18.3+3.3+0.1+11.4+0.1+11.4+1.3+76.9+6.2+11.6+2.1+2.4+24+0.1+0.5+16.3+2.5</f>
        <v>477.80000000000007</v>
      </c>
      <c r="E55" s="106">
        <f>D55/D51*100</f>
        <v>3.7691494564788672</v>
      </c>
      <c r="F55" s="106">
        <f t="shared" si="7"/>
        <v>78.89696169088508</v>
      </c>
      <c r="G55" s="106">
        <f t="shared" si="5"/>
        <v>39.16714484793836</v>
      </c>
      <c r="H55" s="104">
        <f t="shared" si="8"/>
        <v>127.79999999999995</v>
      </c>
      <c r="I55" s="104">
        <f t="shared" si="6"/>
        <v>742.1</v>
      </c>
      <c r="K55" s="153"/>
    </row>
    <row r="56" spans="1:11" s="93" customFormat="1" ht="18">
      <c r="A56" s="102" t="s">
        <v>14</v>
      </c>
      <c r="B56" s="126">
        <v>660</v>
      </c>
      <c r="C56" s="127">
        <v>1320</v>
      </c>
      <c r="D56" s="127">
        <f>110+110+110+110+110</f>
        <v>550</v>
      </c>
      <c r="E56" s="106">
        <f>D56/D51*100</f>
        <v>4.338702806746289</v>
      </c>
      <c r="F56" s="106">
        <f>D56/B56*100</f>
        <v>83.33333333333334</v>
      </c>
      <c r="G56" s="106">
        <f>D56/C56*100</f>
        <v>41.66666666666667</v>
      </c>
      <c r="H56" s="104">
        <f t="shared" si="8"/>
        <v>110</v>
      </c>
      <c r="I56" s="104">
        <f t="shared" si="6"/>
        <v>770</v>
      </c>
      <c r="K56" s="153"/>
    </row>
    <row r="57" spans="1:11" s="93" customFormat="1" ht="18.75" thickBot="1">
      <c r="A57" s="102" t="s">
        <v>27</v>
      </c>
      <c r="B57" s="127">
        <f>B51-B52-B55-B54-B53-B56</f>
        <v>5179.6</v>
      </c>
      <c r="C57" s="127">
        <f>C51-C52-C55-C54-C53-C56</f>
        <v>13940.6</v>
      </c>
      <c r="D57" s="127">
        <f>D51-D52-D55-D54-D53-D56</f>
        <v>3864.5999999999967</v>
      </c>
      <c r="E57" s="106">
        <f>D57/D51*100</f>
        <v>30.48609248536672</v>
      </c>
      <c r="F57" s="106">
        <f t="shared" si="7"/>
        <v>74.61193914587993</v>
      </c>
      <c r="G57" s="106">
        <f t="shared" si="5"/>
        <v>27.72190580032421</v>
      </c>
      <c r="H57" s="104">
        <f>B57-D57</f>
        <v>1315.0000000000036</v>
      </c>
      <c r="I57" s="104">
        <f>C57-D57</f>
        <v>10076.000000000004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3979.5</v>
      </c>
      <c r="C59" s="39">
        <f>9264.2+300</f>
        <v>9564.2</v>
      </c>
      <c r="D59" s="40">
        <f>87.7+79.1+87.8+43.2+40.5+47.6+13+155.9+18+2.1+84.2+29.6+0.7+0.5+5.7+85.8+109.2+19+38.3+85.7+1.2+4.7+89.8+79.1+0.4+114.1+2.5+187.7+22+17.7+67.3-3</f>
        <v>1617.1000000000001</v>
      </c>
      <c r="E59" s="3">
        <f>D59/D153*100</f>
        <v>0.20649055316253867</v>
      </c>
      <c r="F59" s="3">
        <f>D59/B59*100</f>
        <v>40.63575826108808</v>
      </c>
      <c r="G59" s="3">
        <f t="shared" si="5"/>
        <v>16.90784383429874</v>
      </c>
      <c r="H59" s="40">
        <f>B59-D59</f>
        <v>2362.3999999999996</v>
      </c>
      <c r="I59" s="40">
        <f t="shared" si="6"/>
        <v>7947.1</v>
      </c>
      <c r="J59" s="93"/>
      <c r="K59" s="153"/>
    </row>
    <row r="60" spans="1:11" s="93" customFormat="1" ht="18">
      <c r="A60" s="102" t="s">
        <v>3</v>
      </c>
      <c r="B60" s="126">
        <v>1564.4</v>
      </c>
      <c r="C60" s="127">
        <v>3119.7</v>
      </c>
      <c r="D60" s="104">
        <f>77.7+79.1+76.9+40.5+47.3+155.9+45+29.2+85.8+95.3+38.3+30.7+89.8+79.1+80.7+178.9</f>
        <v>1230.2</v>
      </c>
      <c r="E60" s="106">
        <f>D60/D59*100</f>
        <v>76.07445426998949</v>
      </c>
      <c r="F60" s="106">
        <f t="shared" si="7"/>
        <v>78.63717719253388</v>
      </c>
      <c r="G60" s="106">
        <f t="shared" si="5"/>
        <v>39.43327884091419</v>
      </c>
      <c r="H60" s="104">
        <f t="shared" si="8"/>
        <v>334.20000000000005</v>
      </c>
      <c r="I60" s="104">
        <f t="shared" si="6"/>
        <v>1889.4999999999998</v>
      </c>
      <c r="K60" s="153"/>
    </row>
    <row r="61" spans="1:11" s="93" customFormat="1" ht="18">
      <c r="A61" s="102" t="s">
        <v>1</v>
      </c>
      <c r="B61" s="126">
        <v>263.2</v>
      </c>
      <c r="C61" s="127">
        <v>360.7</v>
      </c>
      <c r="D61" s="104"/>
      <c r="E61" s="106">
        <f>D61/D59*100</f>
        <v>0</v>
      </c>
      <c r="F61" s="106">
        <f>D61/B61*100</f>
        <v>0</v>
      </c>
      <c r="G61" s="106">
        <f t="shared" si="5"/>
        <v>0</v>
      </c>
      <c r="H61" s="104">
        <f t="shared" si="8"/>
        <v>263.2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239.7</v>
      </c>
      <c r="C62" s="127">
        <v>393.7</v>
      </c>
      <c r="D62" s="104">
        <f>10.9+43.2+13-3+39.2+5.7+50.2+3.5+0.2+29.7+2.5+1.8+22+0.1</f>
        <v>218.99999999999997</v>
      </c>
      <c r="E62" s="106">
        <f>D62/D59*100</f>
        <v>13.542761733968211</v>
      </c>
      <c r="F62" s="106">
        <f t="shared" si="7"/>
        <v>91.36420525657071</v>
      </c>
      <c r="G62" s="106">
        <f t="shared" si="5"/>
        <v>55.6261112522225</v>
      </c>
      <c r="H62" s="104">
        <f t="shared" si="8"/>
        <v>20.700000000000017</v>
      </c>
      <c r="I62" s="104">
        <f t="shared" si="6"/>
        <v>174.70000000000002</v>
      </c>
      <c r="K62" s="153"/>
    </row>
    <row r="63" spans="1:11" s="93" customFormat="1" ht="18">
      <c r="A63" s="102" t="s">
        <v>14</v>
      </c>
      <c r="B63" s="126">
        <v>1633.1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1633.1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279.1000000000002</v>
      </c>
      <c r="C64" s="127">
        <f>C59-C60-C62-C63-C61</f>
        <v>823.5000000000007</v>
      </c>
      <c r="D64" s="127">
        <f>D59-D60-D62-D63-D61</f>
        <v>167.90000000000012</v>
      </c>
      <c r="E64" s="106">
        <f>D64/D59*100</f>
        <v>10.382783996042305</v>
      </c>
      <c r="F64" s="106">
        <f t="shared" si="7"/>
        <v>60.1576495879613</v>
      </c>
      <c r="G64" s="106">
        <f t="shared" si="5"/>
        <v>20.38858530661809</v>
      </c>
      <c r="H64" s="104">
        <f t="shared" si="8"/>
        <v>111.20000000000007</v>
      </c>
      <c r="I64" s="104">
        <f t="shared" si="6"/>
        <v>655.6000000000006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362.20000000000005</v>
      </c>
      <c r="C69" s="39">
        <f>C70+C71</f>
        <v>541.8</v>
      </c>
      <c r="D69" s="40">
        <f>D70+D71</f>
        <v>227</v>
      </c>
      <c r="E69" s="30">
        <f>D69/D153*100</f>
        <v>0.028986058727287288</v>
      </c>
      <c r="F69" s="3">
        <f>D69/B69*100</f>
        <v>62.67255659856432</v>
      </c>
      <c r="G69" s="3">
        <f t="shared" si="5"/>
        <v>41.897379106681434</v>
      </c>
      <c r="H69" s="40">
        <f>B69-D69</f>
        <v>135.20000000000005</v>
      </c>
      <c r="I69" s="40">
        <f t="shared" si="6"/>
        <v>314.79999999999995</v>
      </c>
      <c r="J69" s="93"/>
      <c r="K69" s="153"/>
    </row>
    <row r="70" spans="1:11" s="93" customFormat="1" ht="18">
      <c r="A70" s="102" t="s">
        <v>8</v>
      </c>
      <c r="B70" s="126">
        <v>256.1</v>
      </c>
      <c r="C70" s="127">
        <v>292.7</v>
      </c>
      <c r="D70" s="104">
        <f>169.5+50+6+1.5</f>
        <v>227</v>
      </c>
      <c r="E70" s="106">
        <f>D70/D69*100</f>
        <v>100</v>
      </c>
      <c r="F70" s="106">
        <f t="shared" si="7"/>
        <v>88.63725107379929</v>
      </c>
      <c r="G70" s="106">
        <f t="shared" si="5"/>
        <v>77.55380936112061</v>
      </c>
      <c r="H70" s="104">
        <f t="shared" si="8"/>
        <v>29.100000000000023</v>
      </c>
      <c r="I70" s="104">
        <f t="shared" si="6"/>
        <v>65.69999999999999</v>
      </c>
      <c r="K70" s="153"/>
    </row>
    <row r="71" spans="1:11" s="93" customFormat="1" ht="18.75" thickBot="1">
      <c r="A71" s="102" t="s">
        <v>9</v>
      </c>
      <c r="B71" s="126">
        <v>106.1</v>
      </c>
      <c r="C71" s="127">
        <f>293.1-30-14</f>
        <v>249.10000000000002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106.1</v>
      </c>
      <c r="I71" s="104">
        <f t="shared" si="6"/>
        <v>249.10000000000002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</f>
        <v>3500</v>
      </c>
      <c r="D77" s="54"/>
      <c r="E77" s="34"/>
      <c r="F77" s="34"/>
      <c r="G77" s="34"/>
      <c r="H77" s="54">
        <f>B77-D77</f>
        <v>0</v>
      </c>
      <c r="I77" s="54">
        <f t="shared" si="6"/>
        <v>3500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4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4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4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4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v>109554.8</v>
      </c>
      <c r="C90" s="39">
        <f>200580.6+2044.4+100</f>
        <v>202725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</f>
        <v>85659.99999999997</v>
      </c>
      <c r="E90" s="3">
        <f>D90/D153*100</f>
        <v>10.938087183169289</v>
      </c>
      <c r="F90" s="3">
        <f aca="true" t="shared" si="11" ref="F90:F96">D90/B90*100</f>
        <v>78.18918020935638</v>
      </c>
      <c r="G90" s="3">
        <f t="shared" si="9"/>
        <v>42.2542853619435</v>
      </c>
      <c r="H90" s="40">
        <f aca="true" t="shared" si="12" ref="H90:H96">B90-D90</f>
        <v>23894.800000000032</v>
      </c>
      <c r="I90" s="40">
        <f t="shared" si="10"/>
        <v>117065.00000000003</v>
      </c>
      <c r="J90" s="93"/>
      <c r="K90" s="153"/>
    </row>
    <row r="91" spans="1:11" s="93" customFormat="1" ht="18">
      <c r="A91" s="102" t="s">
        <v>3</v>
      </c>
      <c r="B91" s="126">
        <v>102192.2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</f>
        <v>81823.90999999997</v>
      </c>
      <c r="E91" s="106">
        <f>D91/D90*100</f>
        <v>95.5217254261032</v>
      </c>
      <c r="F91" s="106">
        <f t="shared" si="11"/>
        <v>80.06864516078525</v>
      </c>
      <c r="G91" s="106">
        <f t="shared" si="9"/>
        <v>43.07580336851215</v>
      </c>
      <c r="H91" s="104">
        <f t="shared" si="12"/>
        <v>20368.290000000023</v>
      </c>
      <c r="I91" s="104">
        <f t="shared" si="10"/>
        <v>108129.39000000001</v>
      </c>
      <c r="K91" s="153"/>
    </row>
    <row r="92" spans="1:11" s="93" customFormat="1" ht="18">
      <c r="A92" s="102" t="s">
        <v>25</v>
      </c>
      <c r="B92" s="126">
        <v>1536.1</v>
      </c>
      <c r="C92" s="127">
        <v>2776.4</v>
      </c>
      <c r="D92" s="104">
        <f>57.2+3.4+167+1.4+0.3+83.4+86.9+53.1+5.3+4.7+17+71.3+284.2+22.2+4.8+1.6+54.8+7+38.2+1.9+190+51.9+21</f>
        <v>1228.6000000000001</v>
      </c>
      <c r="E92" s="106">
        <f>D92/D90*100</f>
        <v>1.4342750408592115</v>
      </c>
      <c r="F92" s="106">
        <f t="shared" si="11"/>
        <v>79.98177202005078</v>
      </c>
      <c r="G92" s="106">
        <f t="shared" si="9"/>
        <v>44.251548768189025</v>
      </c>
      <c r="H92" s="104">
        <f t="shared" si="12"/>
        <v>307.4999999999998</v>
      </c>
      <c r="I92" s="104">
        <f t="shared" si="10"/>
        <v>1547.8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5826.5000000000055</v>
      </c>
      <c r="C94" s="127">
        <f>C90-C91-C92-C93</f>
        <v>9995.300000000012</v>
      </c>
      <c r="D94" s="127">
        <f>D90-D91-D92-D93</f>
        <v>2607.489999999996</v>
      </c>
      <c r="E94" s="106">
        <f>D94/D90*100</f>
        <v>3.043999533037587</v>
      </c>
      <c r="F94" s="106">
        <f t="shared" si="11"/>
        <v>44.75225263880535</v>
      </c>
      <c r="G94" s="106">
        <f>D94/C94*100</f>
        <v>26.087160965653787</v>
      </c>
      <c r="H94" s="104">
        <f t="shared" si="12"/>
        <v>3219.0100000000093</v>
      </c>
      <c r="I94" s="104">
        <f>C94-D94</f>
        <v>7387.810000000016</v>
      </c>
      <c r="K94" s="153"/>
    </row>
    <row r="95" spans="1:11" ht="18.75">
      <c r="A95" s="82" t="s">
        <v>12</v>
      </c>
      <c r="B95" s="91">
        <f>23556.9-312.7</f>
        <v>23244.2</v>
      </c>
      <c r="C95" s="85">
        <f>46414.5+100+39.4+1153.5-64.6</f>
        <v>47642.8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</f>
        <v>15968.8</v>
      </c>
      <c r="E95" s="81">
        <f>D95/D153*100</f>
        <v>2.0390862317370275</v>
      </c>
      <c r="F95" s="83">
        <f t="shared" si="11"/>
        <v>68.70014885433785</v>
      </c>
      <c r="G95" s="80">
        <f>D95/C95*100</f>
        <v>33.51776134064328</v>
      </c>
      <c r="H95" s="84">
        <f t="shared" si="12"/>
        <v>7275.4000000000015</v>
      </c>
      <c r="I95" s="87">
        <f>C95-D95</f>
        <v>31674.000000000004</v>
      </c>
      <c r="J95" s="93"/>
      <c r="K95" s="153"/>
    </row>
    <row r="96" spans="1:11" s="93" customFormat="1" ht="18.75" thickBot="1">
      <c r="A96" s="129" t="s">
        <v>83</v>
      </c>
      <c r="B96" s="130">
        <v>6483.7</v>
      </c>
      <c r="C96" s="131">
        <v>12814.2</v>
      </c>
      <c r="D96" s="132">
        <f>194.6+1234+3.4+0.5+79.6+1026.4+0.7+86.4+939.3+4.2+87.7+624.7+8+489.4+90.3+1.9+597.9+5.5+67.2+2.1</f>
        <v>5543.799999999998</v>
      </c>
      <c r="E96" s="133">
        <f>D96/D95*100</f>
        <v>34.71644707178998</v>
      </c>
      <c r="F96" s="134">
        <f t="shared" si="11"/>
        <v>85.50364760861852</v>
      </c>
      <c r="G96" s="135">
        <f>D96/C96*100</f>
        <v>43.26294267297215</v>
      </c>
      <c r="H96" s="136">
        <f t="shared" si="12"/>
        <v>939.9000000000015</v>
      </c>
      <c r="I96" s="125">
        <f>C96-D96</f>
        <v>7270.400000000002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5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v>8246.9</v>
      </c>
      <c r="C102" s="70">
        <f>11266.5-91.2+1707.2</f>
        <v>12882.5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</f>
        <v>6442</v>
      </c>
      <c r="E102" s="17">
        <f>D102/D153*100</f>
        <v>0.82259114678936</v>
      </c>
      <c r="F102" s="17">
        <f>D102/B102*100</f>
        <v>78.1142004874559</v>
      </c>
      <c r="G102" s="17">
        <f aca="true" t="shared" si="14" ref="G102:G151">D102/C102*100</f>
        <v>50.00582185134873</v>
      </c>
      <c r="H102" s="65">
        <f aca="true" t="shared" si="15" ref="H102:H107">B102-D102</f>
        <v>1804.8999999999996</v>
      </c>
      <c r="I102" s="65">
        <f aca="true" t="shared" si="16" ref="I102:I151">C102-D102</f>
        <v>6440.5</v>
      </c>
      <c r="J102" s="94"/>
      <c r="K102" s="153"/>
    </row>
    <row r="103" spans="1:11" s="93" customFormat="1" ht="18.75" customHeight="1">
      <c r="A103" s="102" t="s">
        <v>3</v>
      </c>
      <c r="B103" s="118">
        <v>145.5</v>
      </c>
      <c r="C103" s="119">
        <v>363.8</v>
      </c>
      <c r="D103" s="119">
        <f>31.2+4.8</f>
        <v>36</v>
      </c>
      <c r="E103" s="120">
        <f>D103/D102*100</f>
        <v>0.55883266066439</v>
      </c>
      <c r="F103" s="106">
        <f>D103/B103*100</f>
        <v>24.742268041237114</v>
      </c>
      <c r="G103" s="120">
        <f>D103/C103*100</f>
        <v>9.895547003848268</v>
      </c>
      <c r="H103" s="119">
        <f t="shared" si="15"/>
        <v>109.5</v>
      </c>
      <c r="I103" s="119">
        <f t="shared" si="16"/>
        <v>327.8</v>
      </c>
      <c r="K103" s="153"/>
    </row>
    <row r="104" spans="1:11" s="93" customFormat="1" ht="18">
      <c r="A104" s="121" t="s">
        <v>48</v>
      </c>
      <c r="B104" s="103">
        <v>7134.4</v>
      </c>
      <c r="C104" s="104">
        <f>8949.2-91.2+1682.1</f>
        <v>10540.1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</f>
        <v>6025.8</v>
      </c>
      <c r="E104" s="106">
        <f>D104/D102*100</f>
        <v>93.53927351754115</v>
      </c>
      <c r="F104" s="106">
        <f aca="true" t="shared" si="17" ref="F104:F151">D104/B104*100</f>
        <v>84.4612020632429</v>
      </c>
      <c r="G104" s="106">
        <f t="shared" si="14"/>
        <v>57.17023557651255</v>
      </c>
      <c r="H104" s="104">
        <f t="shared" si="15"/>
        <v>1108.5999999999995</v>
      </c>
      <c r="I104" s="104">
        <f t="shared" si="16"/>
        <v>4514.3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967</v>
      </c>
      <c r="C106" s="123">
        <f>C102-C103-C104</f>
        <v>1978.6000000000004</v>
      </c>
      <c r="D106" s="123">
        <f>D102-D103-D104</f>
        <v>380.1999999999998</v>
      </c>
      <c r="E106" s="124">
        <f>D106/D102*100</f>
        <v>5.901893821794471</v>
      </c>
      <c r="F106" s="124">
        <f t="shared" si="17"/>
        <v>39.3174767321613</v>
      </c>
      <c r="G106" s="124">
        <f t="shared" si="14"/>
        <v>19.215606994844826</v>
      </c>
      <c r="H106" s="125">
        <f>B106-D106</f>
        <v>586.8000000000002</v>
      </c>
      <c r="I106" s="125">
        <f t="shared" si="16"/>
        <v>1598.4000000000005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235540.50000000003</v>
      </c>
      <c r="C107" s="67">
        <f>SUM(C108:C150)-C115-C119+C151-C141-C142-C109-C112-C122-C123-C139-C132-C130-C137</f>
        <v>560863.7</v>
      </c>
      <c r="D107" s="67">
        <f>SUM(D108:D150)-D115-D119+D151-D141-D142-D109-D112-D122-D123-D139-D132-D130-D137</f>
        <v>129610.1</v>
      </c>
      <c r="E107" s="68">
        <f>D107/D153*100</f>
        <v>16.550158459249246</v>
      </c>
      <c r="F107" s="68">
        <f>D107/B107*100</f>
        <v>55.026672695353874</v>
      </c>
      <c r="G107" s="68">
        <f t="shared" si="14"/>
        <v>23.109019178812964</v>
      </c>
      <c r="H107" s="67">
        <f t="shared" si="15"/>
        <v>105930.40000000002</v>
      </c>
      <c r="I107" s="67">
        <f t="shared" si="16"/>
        <v>431253.6</v>
      </c>
      <c r="J107" s="113"/>
      <c r="K107" s="153"/>
      <c r="L107" s="96"/>
    </row>
    <row r="108" spans="1:12" s="93" customFormat="1" ht="37.5">
      <c r="A108" s="97" t="s">
        <v>52</v>
      </c>
      <c r="B108" s="161">
        <v>2257.5</v>
      </c>
      <c r="C108" s="158">
        <v>4459</v>
      </c>
      <c r="D108" s="98">
        <f>17.1+81.1+17.3+60.5+173.3+3.4+2+0.4+29.3+1.7+177.1+0.8+38.8+139.8+0.3+1.9+1.8+6.5+136+91.3+0.1+1.8+1.1+2.4+3.5+2+3.4+72.2+73.1+42.5+21.2+13.2+0.2+17.6-34.7+31.4+109.2</f>
        <v>1340.5999999999997</v>
      </c>
      <c r="E108" s="99">
        <f>D108/D107*100</f>
        <v>1.0343329725075436</v>
      </c>
      <c r="F108" s="99">
        <f t="shared" si="17"/>
        <v>59.38427464008858</v>
      </c>
      <c r="G108" s="99">
        <f t="shared" si="14"/>
        <v>30.065037003812506</v>
      </c>
      <c r="H108" s="100">
        <f>B108-D108</f>
        <v>916.9000000000003</v>
      </c>
      <c r="I108" s="100">
        <f t="shared" si="16"/>
        <v>3118.4000000000005</v>
      </c>
      <c r="K108" s="153"/>
      <c r="L108" s="101"/>
    </row>
    <row r="109" spans="1:12" s="93" customFormat="1" ht="18.75">
      <c r="A109" s="102" t="s">
        <v>25</v>
      </c>
      <c r="B109" s="103">
        <v>1000.3</v>
      </c>
      <c r="C109" s="104">
        <v>1995</v>
      </c>
      <c r="D109" s="105">
        <f>47.8+0.9+59.7+88.3+0.1+59.2+38.8+107.4+24+91.1+38+42.5+2+31.4</f>
        <v>631.2</v>
      </c>
      <c r="E109" s="106">
        <f>D109/D108*100</f>
        <v>47.08339549455469</v>
      </c>
      <c r="F109" s="106">
        <f t="shared" si="17"/>
        <v>63.10106967909628</v>
      </c>
      <c r="G109" s="106">
        <f t="shared" si="14"/>
        <v>31.639097744360907</v>
      </c>
      <c r="H109" s="104">
        <f aca="true" t="shared" si="18" ref="H109:H151">B109-D109</f>
        <v>369.0999999999999</v>
      </c>
      <c r="I109" s="104">
        <f t="shared" si="16"/>
        <v>1363.8</v>
      </c>
      <c r="K109" s="153"/>
      <c r="L109" s="101"/>
    </row>
    <row r="110" spans="1:12" s="93" customFormat="1" ht="34.5" customHeight="1" hidden="1">
      <c r="A110" s="107" t="s">
        <v>78</v>
      </c>
      <c r="B110" s="160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2">
        <v>110.9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110.9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59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2">
        <v>46.7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46.7</v>
      </c>
      <c r="I113" s="100">
        <f t="shared" si="16"/>
        <v>64.3</v>
      </c>
      <c r="K113" s="153"/>
      <c r="L113" s="101"/>
    </row>
    <row r="114" spans="1:12" s="93" customFormat="1" ht="37.5">
      <c r="A114" s="107" t="s">
        <v>38</v>
      </c>
      <c r="B114" s="162">
        <v>1699.7</v>
      </c>
      <c r="C114" s="100">
        <v>3311.5</v>
      </c>
      <c r="D114" s="98">
        <f>136.4+10+40+6.6+6.1+0.2+177.4+10+1.8+25.1+29.4+48.1+8.1+193.1+10+0.1+17.8+8.8+132.4+79.7+12.6+4.3+3.5+212.4+8.1+0.4</f>
        <v>1182.4</v>
      </c>
      <c r="E114" s="99">
        <f>D114/D107*100</f>
        <v>0.9122745835394002</v>
      </c>
      <c r="F114" s="99">
        <f t="shared" si="17"/>
        <v>69.56521739130434</v>
      </c>
      <c r="G114" s="99">
        <f t="shared" si="14"/>
        <v>35.70587347123661</v>
      </c>
      <c r="H114" s="100">
        <f t="shared" si="18"/>
        <v>517.3</v>
      </c>
      <c r="I114" s="100">
        <f t="shared" si="16"/>
        <v>2129.1</v>
      </c>
      <c r="K114" s="153"/>
      <c r="L114" s="101"/>
    </row>
    <row r="115" spans="1:12" s="93" customFormat="1" ht="18.75" hidden="1">
      <c r="A115" s="111" t="s">
        <v>43</v>
      </c>
      <c r="B115" s="159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0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2">
        <v>159</v>
      </c>
      <c r="C117" s="100">
        <v>200</v>
      </c>
      <c r="D117" s="98">
        <v>15</v>
      </c>
      <c r="E117" s="99">
        <f>D117/D107*100</f>
        <v>0.011573172152478857</v>
      </c>
      <c r="F117" s="99">
        <f>D117/B117*100</f>
        <v>9.433962264150944</v>
      </c>
      <c r="G117" s="99">
        <f t="shared" si="14"/>
        <v>7.5</v>
      </c>
      <c r="H117" s="100">
        <f t="shared" si="18"/>
        <v>144</v>
      </c>
      <c r="I117" s="100">
        <f t="shared" si="16"/>
        <v>185</v>
      </c>
      <c r="K117" s="153"/>
      <c r="L117" s="101"/>
    </row>
    <row r="118" spans="1:12" s="113" customFormat="1" ht="18.75">
      <c r="A118" s="107" t="s">
        <v>15</v>
      </c>
      <c r="B118" s="162">
        <v>268.5</v>
      </c>
      <c r="C118" s="108">
        <v>491.6</v>
      </c>
      <c r="D118" s="98">
        <f>45.4+9.9+47+6.4+0.4+0.4+45.4+0.4+2.9+45.4+4+6.8+0.4+45.4+0.1+5.8</f>
        <v>266.1000000000001</v>
      </c>
      <c r="E118" s="99">
        <f>D118/D107*100</f>
        <v>0.20530807398497497</v>
      </c>
      <c r="F118" s="99">
        <f t="shared" si="17"/>
        <v>99.10614525139668</v>
      </c>
      <c r="G118" s="99">
        <f t="shared" si="14"/>
        <v>54.12937347436942</v>
      </c>
      <c r="H118" s="100">
        <f t="shared" si="18"/>
        <v>2.3999999999999204</v>
      </c>
      <c r="I118" s="100">
        <f t="shared" si="16"/>
        <v>225.49999999999994</v>
      </c>
      <c r="K118" s="153"/>
      <c r="L118" s="101"/>
    </row>
    <row r="119" spans="1:12" s="114" customFormat="1" ht="18.75">
      <c r="A119" s="111" t="s">
        <v>43</v>
      </c>
      <c r="B119" s="103">
        <v>227.1</v>
      </c>
      <c r="C119" s="104">
        <v>408.8</v>
      </c>
      <c r="D119" s="105">
        <f>45.4+45.4+45.4+45.4+45.4+0.1</f>
        <v>227.1</v>
      </c>
      <c r="E119" s="106">
        <f>D119/D118*100</f>
        <v>85.34385569334833</v>
      </c>
      <c r="F119" s="106">
        <f t="shared" si="17"/>
        <v>100</v>
      </c>
      <c r="G119" s="106">
        <f t="shared" si="14"/>
        <v>55.55283757338552</v>
      </c>
      <c r="H119" s="104">
        <f t="shared" si="18"/>
        <v>0</v>
      </c>
      <c r="I119" s="104">
        <f t="shared" si="16"/>
        <v>181.70000000000002</v>
      </c>
      <c r="K119" s="153"/>
      <c r="L119" s="101"/>
    </row>
    <row r="120" spans="1:12" s="113" customFormat="1" ht="18.75">
      <c r="A120" s="107" t="s">
        <v>105</v>
      </c>
      <c r="B120" s="162">
        <v>125</v>
      </c>
      <c r="C120" s="108">
        <v>317</v>
      </c>
      <c r="D120" s="98">
        <v>3.6</v>
      </c>
      <c r="E120" s="99">
        <f>D120/D107*100</f>
        <v>0.002777561316594926</v>
      </c>
      <c r="F120" s="99">
        <f t="shared" si="17"/>
        <v>2.88</v>
      </c>
      <c r="G120" s="99">
        <f t="shared" si="14"/>
        <v>1.135646687697161</v>
      </c>
      <c r="H120" s="100">
        <f t="shared" si="18"/>
        <v>121.4</v>
      </c>
      <c r="I120" s="100">
        <f t="shared" si="16"/>
        <v>313.4</v>
      </c>
      <c r="K120" s="153"/>
      <c r="L120" s="101"/>
    </row>
    <row r="121" spans="1:13" s="113" customFormat="1" ht="21.75" customHeight="1">
      <c r="A121" s="107" t="s">
        <v>94</v>
      </c>
      <c r="B121" s="162">
        <v>480</v>
      </c>
      <c r="C121" s="108">
        <f>480+80</f>
        <v>560</v>
      </c>
      <c r="D121" s="109">
        <f>12</f>
        <v>12</v>
      </c>
      <c r="E121" s="112">
        <f>D121/D107*100</f>
        <v>0.009258537721983087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76"/>
      <c r="L121" s="177"/>
      <c r="M121" s="178"/>
    </row>
    <row r="122" spans="1:13" s="116" customFormat="1" ht="18.75" hidden="1">
      <c r="A122" s="102" t="s">
        <v>80</v>
      </c>
      <c r="B122" s="159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76"/>
      <c r="L122" s="177"/>
      <c r="M122" s="179"/>
    </row>
    <row r="123" spans="1:13" s="116" customFormat="1" ht="18.75" hidden="1">
      <c r="A123" s="102" t="s">
        <v>49</v>
      </c>
      <c r="B123" s="159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76"/>
      <c r="L123" s="177"/>
      <c r="M123" s="179"/>
    </row>
    <row r="124" spans="1:13" s="113" customFormat="1" ht="37.5">
      <c r="A124" s="107" t="s">
        <v>95</v>
      </c>
      <c r="B124" s="162">
        <v>24768.3</v>
      </c>
      <c r="C124" s="108">
        <v>45511.3</v>
      </c>
      <c r="D124" s="109">
        <f>3529.6+2264.3+1265.3+2996.5+533.1+738.7+2380.2+1722.3+1049.4+1874.1+1476.2+1455.5+94.4+1416</f>
        <v>22795.600000000002</v>
      </c>
      <c r="E124" s="112">
        <f>D124/D107*100</f>
        <v>17.587826874603138</v>
      </c>
      <c r="F124" s="99">
        <f t="shared" si="17"/>
        <v>92.03538393834056</v>
      </c>
      <c r="G124" s="99">
        <f t="shared" si="14"/>
        <v>50.08778039739581</v>
      </c>
      <c r="H124" s="100">
        <f t="shared" si="18"/>
        <v>1972.699999999997</v>
      </c>
      <c r="I124" s="100">
        <f t="shared" si="16"/>
        <v>22715.7</v>
      </c>
      <c r="K124" s="176"/>
      <c r="L124" s="177"/>
      <c r="M124" s="178"/>
    </row>
    <row r="125" spans="1:13" s="113" customFormat="1" ht="18.75">
      <c r="A125" s="107" t="s">
        <v>91</v>
      </c>
      <c r="B125" s="162">
        <v>655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655</v>
      </c>
      <c r="I125" s="100">
        <f t="shared" si="16"/>
        <v>700</v>
      </c>
      <c r="K125" s="176"/>
      <c r="L125" s="177"/>
      <c r="M125" s="178"/>
    </row>
    <row r="126" spans="1:13" s="113" customFormat="1" ht="37.5">
      <c r="A126" s="107" t="s">
        <v>100</v>
      </c>
      <c r="B126" s="162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76"/>
      <c r="L126" s="177"/>
      <c r="M126" s="178"/>
    </row>
    <row r="127" spans="1:13" s="113" customFormat="1" ht="37.5">
      <c r="A127" s="107" t="s">
        <v>85</v>
      </c>
      <c r="B127" s="162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76"/>
      <c r="L127" s="177"/>
      <c r="M127" s="178"/>
    </row>
    <row r="128" spans="1:13" s="113" customFormat="1" ht="18.75" hidden="1">
      <c r="A128" s="111" t="s">
        <v>83</v>
      </c>
      <c r="B128" s="160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76"/>
      <c r="L128" s="177"/>
      <c r="M128" s="178"/>
    </row>
    <row r="129" spans="1:13" s="113" customFormat="1" ht="37.5">
      <c r="A129" s="107" t="s">
        <v>57</v>
      </c>
      <c r="B129" s="162">
        <v>255.5</v>
      </c>
      <c r="C129" s="108">
        <v>942</v>
      </c>
      <c r="D129" s="109">
        <f>7+4.2+0.1+12.3+0.2+7.1+17.8+14.9+1.7+0.1+7.4+7+2.7+3.7+7.1+5.3+31.3+16.4+2.5+1.7+26.7+0.1+13.8+0.1+2.9</f>
        <v>194.1</v>
      </c>
      <c r="E129" s="112">
        <f>D129/D107*100</f>
        <v>0.14975684765307642</v>
      </c>
      <c r="F129" s="99">
        <f t="shared" si="17"/>
        <v>75.96868884540116</v>
      </c>
      <c r="G129" s="99">
        <f t="shared" si="14"/>
        <v>20.605095541401273</v>
      </c>
      <c r="H129" s="100">
        <f t="shared" si="18"/>
        <v>61.400000000000006</v>
      </c>
      <c r="I129" s="100">
        <f t="shared" si="16"/>
        <v>747.9</v>
      </c>
      <c r="K129" s="176"/>
      <c r="L129" s="177"/>
      <c r="M129" s="178"/>
    </row>
    <row r="130" spans="1:13" s="114" customFormat="1" ht="18.75">
      <c r="A130" s="102" t="s">
        <v>88</v>
      </c>
      <c r="B130" s="103">
        <v>43.6</v>
      </c>
      <c r="C130" s="104">
        <v>510.8</v>
      </c>
      <c r="D130" s="105">
        <f>7+7.1+7+7.1+7</f>
        <v>35.2</v>
      </c>
      <c r="E130" s="106">
        <f>D130/D129*100</f>
        <v>18.134981968057705</v>
      </c>
      <c r="F130" s="106">
        <f>D130/B130*100</f>
        <v>80.73394495412845</v>
      </c>
      <c r="G130" s="106">
        <f t="shared" si="14"/>
        <v>6.891151135473766</v>
      </c>
      <c r="H130" s="104">
        <f t="shared" si="18"/>
        <v>8.399999999999999</v>
      </c>
      <c r="I130" s="104">
        <f t="shared" si="16"/>
        <v>475.6</v>
      </c>
      <c r="K130" s="176"/>
      <c r="L130" s="177"/>
      <c r="M130" s="180"/>
    </row>
    <row r="131" spans="1:13" s="113" customFormat="1" ht="37.5">
      <c r="A131" s="107" t="s">
        <v>103</v>
      </c>
      <c r="B131" s="162">
        <v>210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210</v>
      </c>
      <c r="I131" s="100">
        <f t="shared" si="16"/>
        <v>485</v>
      </c>
      <c r="K131" s="176"/>
      <c r="L131" s="177"/>
      <c r="M131" s="178"/>
    </row>
    <row r="132" spans="1:13" s="114" customFormat="1" ht="18.75" hidden="1">
      <c r="A132" s="111" t="s">
        <v>43</v>
      </c>
      <c r="B132" s="159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76"/>
      <c r="L132" s="177"/>
      <c r="M132" s="180"/>
    </row>
    <row r="133" spans="1:13" s="113" customFormat="1" ht="35.25" customHeight="1" hidden="1">
      <c r="A133" s="107" t="s">
        <v>102</v>
      </c>
      <c r="B133" s="160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76"/>
      <c r="L133" s="177"/>
      <c r="M133" s="178"/>
    </row>
    <row r="134" spans="1:13" s="113" customFormat="1" ht="21.75" customHeight="1" hidden="1">
      <c r="A134" s="107" t="s">
        <v>101</v>
      </c>
      <c r="B134" s="160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76"/>
      <c r="L134" s="177"/>
      <c r="M134" s="178"/>
    </row>
    <row r="135" spans="1:13" s="113" customFormat="1" ht="35.25" customHeight="1">
      <c r="A135" s="107" t="s">
        <v>87</v>
      </c>
      <c r="B135" s="162">
        <f>175-120</f>
        <v>55</v>
      </c>
      <c r="C135" s="108">
        <v>383.2</v>
      </c>
      <c r="D135" s="109">
        <f>2.9+1.5+9.7+8.2+0.2-0.4</f>
        <v>22.099999999999998</v>
      </c>
      <c r="E135" s="112">
        <f>D135/D107*100</f>
        <v>0.01705114030465218</v>
      </c>
      <c r="F135" s="99">
        <f t="shared" si="17"/>
        <v>40.18181818181818</v>
      </c>
      <c r="G135" s="99">
        <f t="shared" si="14"/>
        <v>5.767223382045929</v>
      </c>
      <c r="H135" s="100">
        <f t="shared" si="18"/>
        <v>32.900000000000006</v>
      </c>
      <c r="I135" s="100">
        <f t="shared" si="16"/>
        <v>361.09999999999997</v>
      </c>
      <c r="K135" s="176"/>
      <c r="L135" s="177"/>
      <c r="M135" s="178"/>
    </row>
    <row r="136" spans="1:13" s="113" customFormat="1" ht="39" customHeight="1">
      <c r="A136" s="107" t="s">
        <v>54</v>
      </c>
      <c r="B136" s="162">
        <v>120</v>
      </c>
      <c r="C136" s="108">
        <v>350</v>
      </c>
      <c r="D136" s="109"/>
      <c r="E136" s="112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120</v>
      </c>
      <c r="I136" s="100">
        <f t="shared" si="16"/>
        <v>350</v>
      </c>
      <c r="K136" s="176"/>
      <c r="L136" s="177"/>
      <c r="M136" s="178"/>
    </row>
    <row r="137" spans="1:13" s="114" customFormat="1" ht="18.75">
      <c r="A137" s="102" t="s">
        <v>88</v>
      </c>
      <c r="B137" s="103">
        <v>38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38</v>
      </c>
      <c r="I137" s="104">
        <f>C137-D137</f>
        <v>110</v>
      </c>
      <c r="K137" s="176"/>
      <c r="L137" s="177"/>
      <c r="M137" s="180"/>
    </row>
    <row r="138" spans="1:13" s="113" customFormat="1" ht="32.25" customHeight="1">
      <c r="A138" s="107" t="s">
        <v>84</v>
      </c>
      <c r="B138" s="162">
        <v>345.7</v>
      </c>
      <c r="C138" s="108">
        <v>607.7</v>
      </c>
      <c r="D138" s="109">
        <f>76+0.3+41+44+1.8+16.3+2.4+30+0.6+0.2+27.4+0.2+4.5-0.2+31.4</f>
        <v>275.90000000000003</v>
      </c>
      <c r="E138" s="112">
        <f>D138/D107*100</f>
        <v>0.21286921312459448</v>
      </c>
      <c r="F138" s="99">
        <f>D138/B138*100</f>
        <v>79.80908301995952</v>
      </c>
      <c r="G138" s="99">
        <f>D138/C138*100</f>
        <v>45.40069113049202</v>
      </c>
      <c r="H138" s="100">
        <f t="shared" si="18"/>
        <v>69.79999999999995</v>
      </c>
      <c r="I138" s="100">
        <f t="shared" si="16"/>
        <v>331.8</v>
      </c>
      <c r="K138" s="176"/>
      <c r="L138" s="177"/>
      <c r="M138" s="178"/>
    </row>
    <row r="139" spans="1:13" s="114" customFormat="1" ht="18.75">
      <c r="A139" s="102" t="s">
        <v>25</v>
      </c>
      <c r="B139" s="103">
        <v>283.8</v>
      </c>
      <c r="C139" s="104">
        <v>489.6</v>
      </c>
      <c r="D139" s="105">
        <f>76+37.6+44+1.2+0.7+30+27.4+30.6</f>
        <v>247.49999999999997</v>
      </c>
      <c r="E139" s="106">
        <f>D139/D138*100</f>
        <v>89.70641536788689</v>
      </c>
      <c r="F139" s="106">
        <f t="shared" si="17"/>
        <v>87.20930232558139</v>
      </c>
      <c r="G139" s="106">
        <f>D139/C139*100</f>
        <v>50.55147058823528</v>
      </c>
      <c r="H139" s="104">
        <f t="shared" si="18"/>
        <v>36.30000000000004</v>
      </c>
      <c r="I139" s="104">
        <f t="shared" si="16"/>
        <v>242.10000000000005</v>
      </c>
      <c r="K139" s="176"/>
      <c r="L139" s="177"/>
      <c r="M139" s="180"/>
    </row>
    <row r="140" spans="1:13" s="113" customFormat="1" ht="18.75">
      <c r="A140" s="107" t="s">
        <v>96</v>
      </c>
      <c r="B140" s="162">
        <v>892</v>
      </c>
      <c r="C140" s="108">
        <v>1760</v>
      </c>
      <c r="D140" s="109">
        <f>107.3+0.4+30.4+78.2+4.1+36.9+117.9+50.5+112.6+5.2+52.3+10.5+76.8-0.2+10.4</f>
        <v>693.3</v>
      </c>
      <c r="E140" s="112">
        <f>D140/D107*100</f>
        <v>0.5349120168875727</v>
      </c>
      <c r="F140" s="99">
        <f t="shared" si="17"/>
        <v>77.72421524663676</v>
      </c>
      <c r="G140" s="99">
        <f t="shared" si="14"/>
        <v>39.39204545454545</v>
      </c>
      <c r="H140" s="100">
        <f t="shared" si="18"/>
        <v>198.70000000000005</v>
      </c>
      <c r="I140" s="100">
        <f t="shared" si="16"/>
        <v>1066.7</v>
      </c>
      <c r="K140" s="176"/>
      <c r="L140" s="177"/>
      <c r="M140" s="178"/>
    </row>
    <row r="141" spans="1:13" s="114" customFormat="1" ht="18.75">
      <c r="A141" s="111" t="s">
        <v>43</v>
      </c>
      <c r="B141" s="103">
        <v>713.6</v>
      </c>
      <c r="C141" s="104">
        <v>1437.4</v>
      </c>
      <c r="D141" s="105">
        <f>107.3+25.4+76+34+76.6+47.2+83.8+4.5+35.4+76.8-0.2</f>
        <v>566.7999999999998</v>
      </c>
      <c r="E141" s="106">
        <f>D141/D140*100</f>
        <v>81.75393047742678</v>
      </c>
      <c r="F141" s="106">
        <f aca="true" t="shared" si="19" ref="F141:F150">D141/B141*100</f>
        <v>79.42825112107622</v>
      </c>
      <c r="G141" s="106">
        <f t="shared" si="14"/>
        <v>39.432308334492824</v>
      </c>
      <c r="H141" s="104">
        <f t="shared" si="18"/>
        <v>146.80000000000018</v>
      </c>
      <c r="I141" s="104">
        <f t="shared" si="16"/>
        <v>870.6000000000003</v>
      </c>
      <c r="K141" s="176"/>
      <c r="L141" s="177"/>
      <c r="M141" s="180"/>
    </row>
    <row r="142" spans="1:13" s="114" customFormat="1" ht="18.75">
      <c r="A142" s="102" t="s">
        <v>25</v>
      </c>
      <c r="B142" s="103">
        <v>27.2</v>
      </c>
      <c r="C142" s="104">
        <v>40</v>
      </c>
      <c r="D142" s="105">
        <f>0.4+4.9+0.7+4.7+3.3+0.4+0.7+0.6</f>
        <v>15.7</v>
      </c>
      <c r="E142" s="106">
        <f>D142/D140*100</f>
        <v>2.2645319486513773</v>
      </c>
      <c r="F142" s="106">
        <f t="shared" si="19"/>
        <v>57.720588235294116</v>
      </c>
      <c r="G142" s="106">
        <f>D142/C142*100</f>
        <v>39.24999999999999</v>
      </c>
      <c r="H142" s="104">
        <f t="shared" si="18"/>
        <v>11.5</v>
      </c>
      <c r="I142" s="104">
        <f t="shared" si="16"/>
        <v>24.3</v>
      </c>
      <c r="K142" s="176"/>
      <c r="L142" s="177"/>
      <c r="M142" s="181"/>
    </row>
    <row r="143" spans="1:13" s="113" customFormat="1" ht="33.75" customHeight="1">
      <c r="A143" s="117" t="s">
        <v>56</v>
      </c>
      <c r="B143" s="162">
        <f>90+7.5+527</f>
        <v>624.5</v>
      </c>
      <c r="C143" s="108">
        <f>90+534.5</f>
        <v>624.5</v>
      </c>
      <c r="D143" s="109">
        <f>7.5+527</f>
        <v>534.5</v>
      </c>
      <c r="E143" s="112">
        <f>D143/D107*100</f>
        <v>0.41239070103333</v>
      </c>
      <c r="F143" s="99">
        <f t="shared" si="19"/>
        <v>85.58847077662129</v>
      </c>
      <c r="G143" s="99">
        <f t="shared" si="14"/>
        <v>85.58847077662129</v>
      </c>
      <c r="H143" s="100">
        <f t="shared" si="18"/>
        <v>90</v>
      </c>
      <c r="I143" s="100">
        <f t="shared" si="16"/>
        <v>90</v>
      </c>
      <c r="K143" s="176"/>
      <c r="L143" s="177"/>
      <c r="M143" s="178"/>
    </row>
    <row r="144" spans="1:13" s="113" customFormat="1" ht="18.75" hidden="1">
      <c r="A144" s="117" t="s">
        <v>92</v>
      </c>
      <c r="B144" s="160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6"/>
      <c r="L144" s="177"/>
      <c r="M144" s="178"/>
    </row>
    <row r="145" spans="1:13" s="113" customFormat="1" ht="18.75">
      <c r="A145" s="117" t="s">
        <v>97</v>
      </c>
      <c r="B145" s="162">
        <f>22821.5-1011</f>
        <v>21810.5</v>
      </c>
      <c r="C145" s="108">
        <f>56447.1-100+1500-3000</f>
        <v>54847.1</v>
      </c>
      <c r="D145" s="109">
        <f>254.7+197.5+629.8+725.8+539.8+84+74.2+508.7+16.5+120.5+1481.6+832.6+99.5+375.2+120.4+395.9+31.6+377+15.9+619.7+572.8+566.7+1034+62.7+188.4+419+37.7+634.6+518.2+928.5+377.6+1251.3+39.1+1691.8+858.6+220.3</f>
        <v>16902.2</v>
      </c>
      <c r="E145" s="112">
        <f>D145/D107*100</f>
        <v>13.04080469037521</v>
      </c>
      <c r="F145" s="99">
        <f t="shared" si="19"/>
        <v>77.49570161160909</v>
      </c>
      <c r="G145" s="99">
        <f t="shared" si="14"/>
        <v>30.81694383112325</v>
      </c>
      <c r="H145" s="100">
        <f t="shared" si="18"/>
        <v>4908.299999999999</v>
      </c>
      <c r="I145" s="100">
        <f t="shared" si="16"/>
        <v>37944.899999999994</v>
      </c>
      <c r="K145" s="176"/>
      <c r="L145" s="177"/>
      <c r="M145" s="178"/>
    </row>
    <row r="146" spans="1:13" s="113" customFormat="1" ht="18.75" hidden="1">
      <c r="A146" s="117" t="s">
        <v>86</v>
      </c>
      <c r="B146" s="160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6"/>
      <c r="L146" s="177"/>
      <c r="M146" s="178"/>
    </row>
    <row r="147" spans="1:13" s="113" customFormat="1" ht="37.5" hidden="1">
      <c r="A147" s="117" t="s">
        <v>104</v>
      </c>
      <c r="B147" s="160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6"/>
      <c r="L147" s="177"/>
      <c r="M147" s="178"/>
    </row>
    <row r="148" spans="1:13" s="113" customFormat="1" ht="18.75">
      <c r="A148" s="107" t="s">
        <v>98</v>
      </c>
      <c r="B148" s="162">
        <v>89.4</v>
      </c>
      <c r="C148" s="108">
        <v>162.3</v>
      </c>
      <c r="D148" s="109">
        <f>46.4</f>
        <v>46.4</v>
      </c>
      <c r="E148" s="112">
        <f>D148/D107*100</f>
        <v>0.035799679191667926</v>
      </c>
      <c r="F148" s="99">
        <f t="shared" si="19"/>
        <v>51.90156599552572</v>
      </c>
      <c r="G148" s="99">
        <f t="shared" si="14"/>
        <v>28.58903265557609</v>
      </c>
      <c r="H148" s="100">
        <f t="shared" si="18"/>
        <v>43.00000000000001</v>
      </c>
      <c r="I148" s="100">
        <f t="shared" si="16"/>
        <v>115.9</v>
      </c>
      <c r="K148" s="176"/>
      <c r="L148" s="177"/>
      <c r="M148" s="178"/>
    </row>
    <row r="149" spans="1:13" s="113" customFormat="1" ht="18" customHeight="1">
      <c r="A149" s="107" t="s">
        <v>77</v>
      </c>
      <c r="B149" s="162">
        <v>6260.2</v>
      </c>
      <c r="C149" s="108">
        <f>10563.8+657.7</f>
        <v>11221.5</v>
      </c>
      <c r="D149" s="109">
        <f>791.9+575.3+777.6+830.9+722.1+47.7+657.7+821-47.6</f>
        <v>5176.599999999999</v>
      </c>
      <c r="E149" s="112">
        <f>D149/D107*100</f>
        <v>3.9939788643014693</v>
      </c>
      <c r="F149" s="99">
        <f t="shared" si="19"/>
        <v>82.69064886105875</v>
      </c>
      <c r="G149" s="99">
        <f t="shared" si="14"/>
        <v>46.13108764425433</v>
      </c>
      <c r="H149" s="100">
        <f t="shared" si="18"/>
        <v>1083.6000000000004</v>
      </c>
      <c r="I149" s="100">
        <f t="shared" si="16"/>
        <v>6044.900000000001</v>
      </c>
      <c r="K149" s="176"/>
      <c r="L149" s="177"/>
      <c r="M149" s="178"/>
    </row>
    <row r="150" spans="1:13" s="113" customFormat="1" ht="19.5" customHeight="1">
      <c r="A150" s="147" t="s">
        <v>50</v>
      </c>
      <c r="B150" s="164">
        <f>151473.2+1011+432.7</f>
        <v>152916.90000000002</v>
      </c>
      <c r="C150" s="148">
        <f>350771.5+40351.1</f>
        <v>391122.6</v>
      </c>
      <c r="D150" s="149">
        <f>27.8+914.6+10874.2+1188.7+864.1+301.6+376.8+206.4+1075.1+354+2650.4+1522.6+53.5+786.8+81.3+1054.7+490+234.6+36.9+5277.5+291.8+23.3+540.8+832.4+305.2+3134.5+592.9+878.5+3382.3+14.5+805.7+358+9432.9+124.1+4176+812.4+1191.2+449.1+2185.9+2145.9+1330.7</f>
        <v>61379.7</v>
      </c>
      <c r="E150" s="150">
        <f>D150/D107*100</f>
        <v>47.35718898450043</v>
      </c>
      <c r="F150" s="151">
        <f t="shared" si="19"/>
        <v>40.13925210359351</v>
      </c>
      <c r="G150" s="151">
        <f t="shared" si="14"/>
        <v>15.693212307343018</v>
      </c>
      <c r="H150" s="152">
        <f t="shared" si="18"/>
        <v>91537.20000000003</v>
      </c>
      <c r="I150" s="152">
        <f>C150-D150</f>
        <v>329742.89999999997</v>
      </c>
      <c r="K150" s="176"/>
      <c r="L150" s="177"/>
      <c r="M150" s="178"/>
    </row>
    <row r="151" spans="1:13" s="113" customFormat="1" ht="18.75">
      <c r="A151" s="107" t="s">
        <v>99</v>
      </c>
      <c r="B151" s="162">
        <v>21116.2</v>
      </c>
      <c r="C151" s="108">
        <v>42232</v>
      </c>
      <c r="D151" s="109">
        <f>819+819+819.1+1062.3+1173.1+1173.1+1173.2+1173.1+1173.1+1173.2+1173.1+1173.1+1173.2+1173.1+1173.1+1173.1+1173.1</f>
        <v>18770</v>
      </c>
      <c r="E151" s="112">
        <f>D151/D107*100</f>
        <v>14.481896086801877</v>
      </c>
      <c r="F151" s="99">
        <f t="shared" si="17"/>
        <v>88.88909936446898</v>
      </c>
      <c r="G151" s="99">
        <f t="shared" si="14"/>
        <v>44.44497063837848</v>
      </c>
      <c r="H151" s="100">
        <f t="shared" si="18"/>
        <v>2346.2000000000007</v>
      </c>
      <c r="I151" s="100">
        <f t="shared" si="16"/>
        <v>23462</v>
      </c>
      <c r="K151" s="176"/>
      <c r="L151" s="177"/>
      <c r="M151" s="178"/>
    </row>
    <row r="152" spans="1:13" s="2" customFormat="1" ht="19.5" thickBot="1">
      <c r="A152" s="29" t="s">
        <v>29</v>
      </c>
      <c r="B152" s="163"/>
      <c r="C152" s="63"/>
      <c r="D152" s="44">
        <f>D43+D69+D72+D77+D79+D87+D102+D107+D100+D84+D98</f>
        <v>136764</v>
      </c>
      <c r="E152" s="15"/>
      <c r="F152" s="15"/>
      <c r="G152" s="6"/>
      <c r="H152" s="52"/>
      <c r="I152" s="44"/>
      <c r="K152" s="176"/>
      <c r="L152" s="182"/>
      <c r="M152" s="178"/>
    </row>
    <row r="153" spans="1:13" ht="19.5" thickBot="1">
      <c r="A153" s="12" t="s">
        <v>18</v>
      </c>
      <c r="B153" s="40">
        <f>B6+B18+B33+B43+B51+B59+B69+B72+B77+B79+B87+B90+B95+B102+B107+B100+B84+B98+B45</f>
        <v>1108855.7</v>
      </c>
      <c r="C153" s="40">
        <f>C6+C18+C33+C43+C51+C59+C69+C72+C77+C79+C87+C90+C95+C102+C107+C100+C84+C98+C45</f>
        <v>2165149.5</v>
      </c>
      <c r="D153" s="40">
        <f>D6+D18+D33+D43+D51+D59+D69+D72+D77+D79+D87+D90+D95+D102+D107+D100+D84+D98+D45</f>
        <v>783135.0999999999</v>
      </c>
      <c r="E153" s="28">
        <v>100</v>
      </c>
      <c r="F153" s="3">
        <f>D153/B153*100</f>
        <v>70.62551962351819</v>
      </c>
      <c r="G153" s="3">
        <f aca="true" t="shared" si="20" ref="G153:G159">D153/C153*100</f>
        <v>36.170024287006505</v>
      </c>
      <c r="H153" s="40">
        <f aca="true" t="shared" si="21" ref="H153:H159">B153-D153</f>
        <v>325720.6000000001</v>
      </c>
      <c r="I153" s="40">
        <f aca="true" t="shared" si="22" ref="I153:I159">C153-D153</f>
        <v>1382014.4000000001</v>
      </c>
      <c r="K153" s="183"/>
      <c r="L153" s="184"/>
      <c r="M153" s="185"/>
    </row>
    <row r="154" spans="1:13" ht="18.75">
      <c r="A154" s="16" t="s">
        <v>5</v>
      </c>
      <c r="B154" s="51">
        <f>B8+B20+B34+B52+B60+B91+B115+B119+B46+B141+B132+B103</f>
        <v>509319.5</v>
      </c>
      <c r="C154" s="51">
        <f>C8+C20+C34+C52+C60+C91+C115+C119+C46+C141+C132+C103</f>
        <v>896180.8</v>
      </c>
      <c r="D154" s="51">
        <f>D8+D20+D34+D52+D60+D91+D115+D119+D46+D141+D132+D103</f>
        <v>373019.81</v>
      </c>
      <c r="E154" s="6">
        <f>D154/D153*100</f>
        <v>47.63160404890549</v>
      </c>
      <c r="F154" s="6">
        <f aca="true" t="shared" si="23" ref="F154:F159">D154/B154*100</f>
        <v>73.23886283560712</v>
      </c>
      <c r="G154" s="6">
        <f t="shared" si="20"/>
        <v>41.62327624068715</v>
      </c>
      <c r="H154" s="52">
        <f t="shared" si="21"/>
        <v>136299.69</v>
      </c>
      <c r="I154" s="62">
        <f t="shared" si="22"/>
        <v>523160.99000000005</v>
      </c>
      <c r="K154" s="176"/>
      <c r="L154" s="184"/>
      <c r="M154" s="185"/>
    </row>
    <row r="155" spans="1:12" ht="18.75">
      <c r="A155" s="16" t="s">
        <v>0</v>
      </c>
      <c r="B155" s="52">
        <f>B11+B23+B36+B55+B62+B92+B49+B142+B109+B112+B96+B139+B128</f>
        <v>64011.899999999994</v>
      </c>
      <c r="C155" s="52">
        <f>C11+C23+C36+C55+C62+C92+C49+C142+C109+C112+C96+C139+C128</f>
        <v>110563.99999999999</v>
      </c>
      <c r="D155" s="52">
        <f>D11+D23+D36+D55+D62+D92+D49+D142+D109+D112+D96+D139+D128</f>
        <v>59225.5</v>
      </c>
      <c r="E155" s="6">
        <f>D155/D153*100</f>
        <v>7.562615952215654</v>
      </c>
      <c r="F155" s="6">
        <f t="shared" si="23"/>
        <v>92.52264032156522</v>
      </c>
      <c r="G155" s="6">
        <f t="shared" si="20"/>
        <v>53.56671249231215</v>
      </c>
      <c r="H155" s="52">
        <f>B155-D155</f>
        <v>4786.399999999994</v>
      </c>
      <c r="I155" s="62">
        <f t="shared" si="22"/>
        <v>51338.499999999985</v>
      </c>
      <c r="K155" s="153"/>
      <c r="L155" s="69"/>
    </row>
    <row r="156" spans="1:12" ht="18.75">
      <c r="A156" s="16" t="s">
        <v>1</v>
      </c>
      <c r="B156" s="51">
        <f>B22+B10+B54+B48+B61+B35+B123</f>
        <v>24582</v>
      </c>
      <c r="C156" s="51">
        <f>C22+C10+C54+C48+C61+C35+C123</f>
        <v>45915.9</v>
      </c>
      <c r="D156" s="51">
        <f>D22+D10+D54+D48+D61+D35+D123</f>
        <v>15090.4</v>
      </c>
      <c r="E156" s="6">
        <f>D156/D153*100</f>
        <v>1.9269216767324058</v>
      </c>
      <c r="F156" s="6">
        <f t="shared" si="23"/>
        <v>61.38800748515174</v>
      </c>
      <c r="G156" s="6">
        <f t="shared" si="20"/>
        <v>32.865303740098746</v>
      </c>
      <c r="H156" s="52">
        <f t="shared" si="21"/>
        <v>9491.6</v>
      </c>
      <c r="I156" s="62">
        <f t="shared" si="22"/>
        <v>30825.5</v>
      </c>
      <c r="K156" s="153"/>
      <c r="L156" s="33"/>
    </row>
    <row r="157" spans="1:12" ht="21" customHeight="1">
      <c r="A157" s="16" t="s">
        <v>14</v>
      </c>
      <c r="B157" s="51">
        <f>B12+B24+B104+B63+B38+B93+B130+B56+B137</f>
        <v>16062.900000000001</v>
      </c>
      <c r="C157" s="51">
        <f>C12+C24+C104+C63+C38+C93+C130+C56+C137</f>
        <v>30174.999999999996</v>
      </c>
      <c r="D157" s="51">
        <f>D12+D24+D104+D63+D38+D93+D130+D56+D137</f>
        <v>11976.7</v>
      </c>
      <c r="E157" s="6">
        <f>D157/D153*100</f>
        <v>1.5293274429916375</v>
      </c>
      <c r="F157" s="6">
        <f t="shared" si="23"/>
        <v>74.56125606210584</v>
      </c>
      <c r="G157" s="6">
        <f t="shared" si="20"/>
        <v>39.69080364540183</v>
      </c>
      <c r="H157" s="52">
        <f>B157-D157</f>
        <v>4086.2000000000007</v>
      </c>
      <c r="I157" s="62">
        <f t="shared" si="22"/>
        <v>18198.299999999996</v>
      </c>
      <c r="K157" s="153"/>
      <c r="L157" s="69"/>
    </row>
    <row r="158" spans="1:12" ht="18.75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17.900000000000002</v>
      </c>
      <c r="E158" s="6">
        <f>D158/D153*100</f>
        <v>0.002285684807129703</v>
      </c>
      <c r="F158" s="6">
        <f t="shared" si="23"/>
        <v>56.64556962025317</v>
      </c>
      <c r="G158" s="6">
        <f t="shared" si="20"/>
        <v>15.826702033598586</v>
      </c>
      <c r="H158" s="52">
        <f t="shared" si="21"/>
        <v>13.7</v>
      </c>
      <c r="I158" s="62">
        <f t="shared" si="22"/>
        <v>95.2</v>
      </c>
      <c r="K158" s="153"/>
      <c r="L158" s="33"/>
    </row>
    <row r="159" spans="1:12" ht="19.5" thickBot="1">
      <c r="A159" s="88" t="s">
        <v>27</v>
      </c>
      <c r="B159" s="64">
        <f>B153-B154-B155-B156-B157-B158</f>
        <v>494847.79999999993</v>
      </c>
      <c r="C159" s="64">
        <f>C153-C154-C155-C156-C157-C158</f>
        <v>1082200.7</v>
      </c>
      <c r="D159" s="64">
        <f>D153-D154-D155-D156-D157-D158</f>
        <v>323804.7899999998</v>
      </c>
      <c r="E159" s="31">
        <f>D159/D153*100</f>
        <v>41.34724519434768</v>
      </c>
      <c r="F159" s="31">
        <f t="shared" si="23"/>
        <v>65.43522877135149</v>
      </c>
      <c r="G159" s="31">
        <f t="shared" si="20"/>
        <v>29.920955512226133</v>
      </c>
      <c r="H159" s="89">
        <f t="shared" si="21"/>
        <v>171043.01000000013</v>
      </c>
      <c r="I159" s="89">
        <f t="shared" si="22"/>
        <v>758395.9100000001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6"/>
      <c r="C165" s="157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.75">
      <c r="A2" s="4"/>
      <c r="B2" s="4"/>
      <c r="C2" s="4"/>
      <c r="D2" s="4" t="s">
        <v>31</v>
      </c>
      <c r="E2" s="5">
        <f>'аналіз фінансування'!D153</f>
        <v>783135.0999999999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.75">
      <c r="A2" s="4"/>
      <c r="B2" s="4"/>
      <c r="C2" s="4"/>
      <c r="D2" s="4" t="s">
        <v>31</v>
      </c>
      <c r="E2" s="5">
        <f>'аналіз фінансування'!D153</f>
        <v>783135.0999999999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2018-06-08T11:42:54Z</cp:lastPrinted>
  <dcterms:created xsi:type="dcterms:W3CDTF">2000-06-20T04:48:00Z</dcterms:created>
  <dcterms:modified xsi:type="dcterms:W3CDTF">2018-06-11T07:54:22Z</dcterms:modified>
  <cp:category/>
  <cp:version/>
  <cp:contentType/>
  <cp:contentStatus/>
</cp:coreProperties>
</file>